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drao\Desktop\Atualizar site fundação\"/>
    </mc:Choice>
  </mc:AlternateContent>
  <xr:revisionPtr revIDLastSave="0" documentId="13_ncr:1_{6D86E308-8336-45DE-9111-110AE625EC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xR 2023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1" i="7" l="1"/>
  <c r="D150" i="7"/>
  <c r="D149" i="7"/>
  <c r="D148" i="7"/>
  <c r="D147" i="7"/>
  <c r="D146" i="7"/>
  <c r="D145" i="7"/>
  <c r="B144" i="7"/>
  <c r="D144" i="7" s="1"/>
  <c r="D138" i="7"/>
  <c r="C133" i="7"/>
  <c r="D131" i="7"/>
  <c r="D130" i="7"/>
  <c r="B130" i="7"/>
  <c r="B129" i="7"/>
  <c r="D129" i="7" s="1"/>
  <c r="B128" i="7"/>
  <c r="D128" i="7" s="1"/>
  <c r="B127" i="7"/>
  <c r="D127" i="7" s="1"/>
  <c r="B126" i="7"/>
  <c r="D126" i="7" s="1"/>
  <c r="D125" i="7"/>
  <c r="B124" i="7"/>
  <c r="D124" i="7" s="1"/>
  <c r="B123" i="7"/>
  <c r="D123" i="7" s="1"/>
  <c r="B122" i="7"/>
  <c r="D116" i="7"/>
  <c r="C111" i="7"/>
  <c r="B110" i="7"/>
  <c r="D109" i="7"/>
  <c r="B108" i="7"/>
  <c r="D108" i="7" s="1"/>
  <c r="B107" i="7"/>
  <c r="D107" i="7" s="1"/>
  <c r="B106" i="7"/>
  <c r="D106" i="7" s="1"/>
  <c r="B105" i="7"/>
  <c r="D105" i="7" s="1"/>
  <c r="B104" i="7"/>
  <c r="D104" i="7" s="1"/>
  <c r="B103" i="7"/>
  <c r="D103" i="7" s="1"/>
  <c r="B102" i="7"/>
  <c r="D102" i="7" s="1"/>
  <c r="B101" i="7"/>
  <c r="D101" i="7" s="1"/>
  <c r="B100" i="7"/>
  <c r="D94" i="7"/>
  <c r="C89" i="7"/>
  <c r="D87" i="7"/>
  <c r="B86" i="7"/>
  <c r="D86" i="7" s="1"/>
  <c r="B85" i="7"/>
  <c r="D85" i="7" s="1"/>
  <c r="B84" i="7"/>
  <c r="D84" i="7" s="1"/>
  <c r="B83" i="7"/>
  <c r="D83" i="7" s="1"/>
  <c r="D82" i="7"/>
  <c r="D81" i="7"/>
  <c r="B80" i="7"/>
  <c r="D80" i="7" s="1"/>
  <c r="B79" i="7"/>
  <c r="D79" i="7" s="1"/>
  <c r="B78" i="7"/>
  <c r="C72" i="7"/>
  <c r="C73" i="7" s="1"/>
  <c r="B72" i="7"/>
  <c r="B73" i="7" s="1"/>
  <c r="D71" i="7"/>
  <c r="C66" i="7"/>
  <c r="B64" i="7"/>
  <c r="D64" i="7" s="1"/>
  <c r="B63" i="7"/>
  <c r="D63" i="7" s="1"/>
  <c r="B62" i="7"/>
  <c r="D62" i="7" s="1"/>
  <c r="B61" i="7"/>
  <c r="D61" i="7" s="1"/>
  <c r="D60" i="7"/>
  <c r="B59" i="7"/>
  <c r="D59" i="7" s="1"/>
  <c r="B58" i="7"/>
  <c r="D58" i="7" s="1"/>
  <c r="B57" i="7"/>
  <c r="D57" i="7" s="1"/>
  <c r="C29" i="7"/>
  <c r="D28" i="7"/>
  <c r="D27" i="7"/>
  <c r="D26" i="7"/>
  <c r="D25" i="7"/>
  <c r="D24" i="7"/>
  <c r="B23" i="7"/>
  <c r="B29" i="7" s="1"/>
  <c r="D22" i="7"/>
  <c r="D21" i="7"/>
  <c r="D20" i="7"/>
  <c r="C15" i="7"/>
  <c r="B15" i="7"/>
  <c r="D14" i="7"/>
  <c r="C51" i="7"/>
  <c r="D50" i="7"/>
  <c r="D49" i="7"/>
  <c r="D48" i="7"/>
  <c r="D47" i="7"/>
  <c r="D46" i="7"/>
  <c r="D45" i="7"/>
  <c r="D44" i="7"/>
  <c r="D43" i="7"/>
  <c r="D42" i="7"/>
  <c r="D41" i="7"/>
  <c r="C35" i="7"/>
  <c r="C36" i="7" s="1"/>
  <c r="B35" i="7"/>
  <c r="B36" i="7" s="1"/>
  <c r="D34" i="7"/>
  <c r="B89" i="7" l="1"/>
  <c r="D89" i="7" s="1"/>
  <c r="D36" i="7"/>
  <c r="D29" i="7"/>
  <c r="B111" i="7"/>
  <c r="D111" i="7" s="1"/>
  <c r="B133" i="7"/>
  <c r="D133" i="7" s="1"/>
  <c r="D15" i="7"/>
  <c r="B66" i="7"/>
  <c r="D66" i="7" s="1"/>
  <c r="D122" i="7"/>
  <c r="D100" i="7"/>
  <c r="D78" i="7"/>
  <c r="D73" i="7"/>
  <c r="D72" i="7"/>
  <c r="D23" i="7"/>
  <c r="D35" i="7"/>
  <c r="C52" i="7"/>
  <c r="D52" i="7" s="1"/>
</calcChain>
</file>

<file path=xl/sharedStrings.xml><?xml version="1.0" encoding="utf-8"?>
<sst xmlns="http://schemas.openxmlformats.org/spreadsheetml/2006/main" count="163" uniqueCount="43">
  <si>
    <t>FUNDAÇÃO HOSPITAL SANTA LYDIA</t>
  </si>
  <si>
    <t>Rua Tamandaré, 434 – CEP 14.085-070 - Campos Elíseos</t>
  </si>
  <si>
    <t>Ribeirão Preto – S.P. – Tel.(16) 3605 4848</t>
  </si>
  <si>
    <t>CNPJ-MF nº 13.370.183/0001-89  Inscr. Municipal nº 149977/01</t>
  </si>
  <si>
    <t>Execução dos Contratos de Gestão</t>
  </si>
  <si>
    <t>Categoria de Despesa</t>
  </si>
  <si>
    <t>Outros Materiais de Consumo</t>
  </si>
  <si>
    <t>Outros Serviços de Terceiros</t>
  </si>
  <si>
    <t>Recursos Humanos</t>
  </si>
  <si>
    <t>Serviços de Terceiros Pessoa Jurídica</t>
  </si>
  <si>
    <t>Locação de Equipamentos</t>
  </si>
  <si>
    <t>Utilidades Públicas</t>
  </si>
  <si>
    <t>Serviços de Apoio e Compartilhados da FHSL</t>
  </si>
  <si>
    <t>Outras Despesas</t>
  </si>
  <si>
    <t>Medicamentos</t>
  </si>
  <si>
    <t>Itens não previstos</t>
  </si>
  <si>
    <t>TOTAL</t>
  </si>
  <si>
    <t>Material Médico e Hospitalar</t>
  </si>
  <si>
    <t>Médicos</t>
  </si>
  <si>
    <t>Locação</t>
  </si>
  <si>
    <t>Apoio Administrativo</t>
  </si>
  <si>
    <t>Material médico hospitalar e medicamentos</t>
  </si>
  <si>
    <t>Utilidade Pública</t>
  </si>
  <si>
    <t>A Fundação Hospital Santa Lydia apresenta, conforme previsto no Art. 4°, §2°, da Lei 2.415/2010, relatório de execução orçamentária para prestar contas de seus respectivos Contratos de Gestão, referente ao exercício de 2023.</t>
  </si>
  <si>
    <t>ORÇADO 2023</t>
  </si>
  <si>
    <t>REALIZADO 2023</t>
  </si>
  <si>
    <t>% REALIZADO</t>
  </si>
  <si>
    <t>Serviços de Apoio e Compartilhado da FHSL</t>
  </si>
  <si>
    <t>Investimentos</t>
  </si>
  <si>
    <t>Contrato de Gestão n° 002/2018 - Upa 13 de Maio - Recurso Municipal (Em Reais)</t>
  </si>
  <si>
    <t>Contrato de Gestão n° 002/2018 - Upa 13 de Maio - Recurso Federal (Em Reais)</t>
  </si>
  <si>
    <t>Contrato de Gestão n° 001/2020 - Upa Norte - Recurso Municipal  (Em Reais)</t>
  </si>
  <si>
    <t>Investimento</t>
  </si>
  <si>
    <t>Aquisição de Equipamentos</t>
  </si>
  <si>
    <t>Contrato de Gestão n°146/2023 - Upa 13 de Maio - Recurso Federal (Em Reais)</t>
  </si>
  <si>
    <t>Contrato de Gestão n°146/2023 - Upa 13 de Maio - Recurso Municipal (Em Reais)</t>
  </si>
  <si>
    <t>Contrato de Gestão n° 001/2019 - UBS Cristo Redentor - Recurso Federal (Em Reais)</t>
  </si>
  <si>
    <t>Contrato de Gestão n° 001/2020 - Upa Norte - Recurso Federal (Em Reais)</t>
  </si>
  <si>
    <t>Contrato de Gestão n° 002/2020 - Upa Oeste - Recurso Federal (Em Reais)</t>
  </si>
  <si>
    <t>Contrato de Gestão n° 002/2020 - Upa Oeste - Recurso Municipal (Em Reais)</t>
  </si>
  <si>
    <t>Contrato de Gestão n° 108/2021 - UBDS Vila Vírginia - Recurso Federal (Em Reais)</t>
  </si>
  <si>
    <t>Contrato de Gestão n° 108/2021 - UBDS Vila Vírginia - Recurso Municipal (Em Reais)</t>
  </si>
  <si>
    <t>Contrato de Gestão n° 29/2021 - UBS Quintino I - Recurso Federal (Em Reais)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</si>
</sst>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R$&quot;\ * #,##0.00_-;\-&quot;R$&quot;\ * #,##0.00_-;_-&quot;R$&quot;\ * &quot;-&quot;??_-;_-@"/>
  </numFmts>
  <fonts count="16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rgb="FF000000"/>
      <name val="Calibri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 Light"/>
      <family val="2"/>
    </font>
    <font>
      <sz val="10"/>
      <color rgb="FF000000"/>
      <name val="Arial"/>
    </font>
    <font>
      <b/>
      <sz val="10"/>
      <name val="Calibri"/>
      <family val="2"/>
    </font>
    <font>
      <sz val="1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9" fontId="1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horizontal="justify" vertical="center"/>
    </xf>
    <xf numFmtId="9" fontId="10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3" fillId="2" borderId="3" xfId="0" applyFont="1" applyFill="1" applyBorder="1" applyAlignment="1">
      <alignment horizontal="center"/>
    </xf>
    <xf numFmtId="0" fontId="14" fillId="0" borderId="3" xfId="0" applyFont="1" applyBorder="1"/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5" fillId="0" borderId="6" xfId="0" applyFont="1" applyBorder="1" applyAlignment="1">
      <alignment horizontal="left"/>
    </xf>
    <xf numFmtId="9" fontId="15" fillId="0" borderId="7" xfId="0" applyNumberFormat="1" applyFont="1" applyBorder="1" applyAlignment="1">
      <alignment horizontal="center"/>
    </xf>
    <xf numFmtId="0" fontId="13" fillId="3" borderId="6" xfId="0" applyFont="1" applyFill="1" applyBorder="1"/>
    <xf numFmtId="164" fontId="13" fillId="3" borderId="6" xfId="0" applyNumberFormat="1" applyFont="1" applyFill="1" applyBorder="1"/>
    <xf numFmtId="9" fontId="13" fillId="3" borderId="6" xfId="3" applyFont="1" applyFill="1" applyBorder="1" applyAlignment="1">
      <alignment horizontal="center"/>
    </xf>
    <xf numFmtId="0" fontId="15" fillId="0" borderId="6" xfId="0" applyFont="1" applyBorder="1"/>
    <xf numFmtId="43" fontId="15" fillId="0" borderId="6" xfId="0" applyNumberFormat="1" applyFont="1" applyBorder="1" applyAlignment="1">
      <alignment horizontal="center"/>
    </xf>
    <xf numFmtId="9" fontId="11" fillId="0" borderId="3" xfId="0" applyNumberFormat="1" applyFont="1" applyBorder="1" applyAlignment="1">
      <alignment horizontal="center"/>
    </xf>
    <xf numFmtId="0" fontId="9" fillId="3" borderId="6" xfId="0" applyFont="1" applyFill="1" applyBorder="1"/>
    <xf numFmtId="10" fontId="9" fillId="3" borderId="3" xfId="0" applyNumberFormat="1" applyFont="1" applyFill="1" applyBorder="1" applyAlignment="1">
      <alignment horizontal="center"/>
    </xf>
    <xf numFmtId="9" fontId="15" fillId="0" borderId="3" xfId="0" applyNumberFormat="1" applyFont="1" applyBorder="1" applyAlignment="1">
      <alignment horizontal="center"/>
    </xf>
    <xf numFmtId="0" fontId="15" fillId="3" borderId="6" xfId="0" applyFont="1" applyFill="1" applyBorder="1"/>
    <xf numFmtId="9" fontId="13" fillId="3" borderId="4" xfId="3" applyFont="1" applyFill="1" applyBorder="1" applyAlignment="1">
      <alignment horizontal="center"/>
    </xf>
    <xf numFmtId="9" fontId="15" fillId="0" borderId="6" xfId="0" applyNumberFormat="1" applyFont="1" applyBorder="1" applyAlignment="1">
      <alignment horizontal="center"/>
    </xf>
    <xf numFmtId="43" fontId="11" fillId="0" borderId="3" xfId="0" applyNumberFormat="1" applyFont="1" applyBorder="1"/>
    <xf numFmtId="43" fontId="15" fillId="0" borderId="8" xfId="0" applyNumberFormat="1" applyFont="1" applyBorder="1" applyAlignment="1">
      <alignment horizontal="center"/>
    </xf>
    <xf numFmtId="0" fontId="15" fillId="0" borderId="9" xfId="0" applyFont="1" applyBorder="1"/>
    <xf numFmtId="43" fontId="15" fillId="0" borderId="3" xfId="0" applyNumberFormat="1" applyFont="1" applyBorder="1" applyAlignment="1">
      <alignment horizontal="center"/>
    </xf>
    <xf numFmtId="43" fontId="11" fillId="0" borderId="1" xfId="0" applyNumberFormat="1" applyFont="1" applyBorder="1"/>
    <xf numFmtId="9" fontId="15" fillId="0" borderId="10" xfId="0" applyNumberFormat="1" applyFont="1" applyBorder="1" applyAlignment="1">
      <alignment horizontal="center"/>
    </xf>
    <xf numFmtId="9" fontId="13" fillId="3" borderId="10" xfId="0" applyNumberFormat="1" applyFont="1" applyFill="1" applyBorder="1" applyAlignment="1">
      <alignment horizontal="center"/>
    </xf>
    <xf numFmtId="43" fontId="13" fillId="3" borderId="6" xfId="0" applyNumberFormat="1" applyFont="1" applyFill="1" applyBorder="1" applyAlignment="1">
      <alignment horizontal="center"/>
    </xf>
    <xf numFmtId="9" fontId="13" fillId="3" borderId="7" xfId="0" applyNumberFormat="1" applyFont="1" applyFill="1" applyBorder="1" applyAlignment="1">
      <alignment horizontal="center"/>
    </xf>
  </cellXfs>
  <cellStyles count="4">
    <cellStyle name="Normal" xfId="0" builtinId="0"/>
    <cellStyle name="Normal 2" xfId="1" xr:uid="{0AF692FA-3733-4CEA-B136-CAB56E50C7C4}"/>
    <cellStyle name="Normal 6" xfId="2" xr:uid="{63BA23A2-47D7-443E-A9FF-F3D83D960341}"/>
    <cellStyle name="Porcentagem" xfId="3" builtinId="5"/>
  </cellStyles>
  <dxfs count="0"/>
  <tableStyles count="0" defaultTableStyle="TableStyleMedium2" defaultPivotStyle="PivotStyleLight16"/>
  <colors>
    <mruColors>
      <color rgb="FFCC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4ECD3-60F5-4F06-93A8-2322E604AB2A}">
  <dimension ref="A1:D153"/>
  <sheetViews>
    <sheetView tabSelected="1" workbookViewId="0">
      <selection activeCell="F105" sqref="F105"/>
    </sheetView>
  </sheetViews>
  <sheetFormatPr defaultRowHeight="12.75" x14ac:dyDescent="0.2"/>
  <cols>
    <col min="1" max="1" width="35.85546875" customWidth="1"/>
    <col min="2" max="2" width="18.5703125" customWidth="1"/>
    <col min="3" max="3" width="20.7109375" customWidth="1"/>
    <col min="4" max="4" width="16.5703125" customWidth="1"/>
  </cols>
  <sheetData>
    <row r="1" spans="1:4" ht="23.25" x14ac:dyDescent="0.2">
      <c r="A1" s="4" t="s">
        <v>0</v>
      </c>
      <c r="B1" s="4"/>
      <c r="C1" s="4"/>
      <c r="D1" s="4"/>
    </row>
    <row r="2" spans="1:4" ht="15" x14ac:dyDescent="0.2">
      <c r="A2" s="5" t="s">
        <v>1</v>
      </c>
      <c r="B2" s="5"/>
      <c r="C2" s="5"/>
      <c r="D2" s="5"/>
    </row>
    <row r="3" spans="1:4" ht="15" x14ac:dyDescent="0.2">
      <c r="A3" s="5" t="s">
        <v>2</v>
      </c>
      <c r="B3" s="5"/>
      <c r="C3" s="5"/>
      <c r="D3" s="5"/>
    </row>
    <row r="4" spans="1:4" x14ac:dyDescent="0.2">
      <c r="A4" s="6" t="s">
        <v>3</v>
      </c>
      <c r="B4" s="6"/>
      <c r="C4" s="6"/>
      <c r="D4" s="6"/>
    </row>
    <row r="5" spans="1:4" x14ac:dyDescent="0.2">
      <c r="A5" s="1"/>
    </row>
    <row r="6" spans="1:4" ht="15.75" x14ac:dyDescent="0.25">
      <c r="A6" s="7" t="s">
        <v>4</v>
      </c>
      <c r="B6" s="7"/>
      <c r="C6" s="7"/>
      <c r="D6" s="7"/>
    </row>
    <row r="7" spans="1:4" ht="15.75" x14ac:dyDescent="0.2">
      <c r="A7" s="2"/>
    </row>
    <row r="8" spans="1:4" x14ac:dyDescent="0.2">
      <c r="A8" s="8" t="s">
        <v>23</v>
      </c>
      <c r="B8" s="8"/>
      <c r="C8" s="8"/>
      <c r="D8" s="8"/>
    </row>
    <row r="9" spans="1:4" x14ac:dyDescent="0.2">
      <c r="A9" s="8"/>
      <c r="B9" s="8"/>
      <c r="C9" s="8"/>
      <c r="D9" s="8"/>
    </row>
    <row r="10" spans="1:4" ht="24" customHeight="1" x14ac:dyDescent="0.2">
      <c r="A10" s="8"/>
      <c r="B10" s="8"/>
      <c r="C10" s="8"/>
      <c r="D10" s="8"/>
    </row>
    <row r="12" spans="1:4" x14ac:dyDescent="0.2">
      <c r="A12" s="9" t="s">
        <v>30</v>
      </c>
      <c r="B12" s="10"/>
      <c r="C12" s="10"/>
      <c r="D12" s="10"/>
    </row>
    <row r="13" spans="1:4" x14ac:dyDescent="0.2">
      <c r="A13" s="11" t="s">
        <v>5</v>
      </c>
      <c r="B13" s="12" t="s">
        <v>24</v>
      </c>
      <c r="C13" s="13" t="s">
        <v>25</v>
      </c>
      <c r="D13" s="14" t="s">
        <v>26</v>
      </c>
    </row>
    <row r="14" spans="1:4" x14ac:dyDescent="0.2">
      <c r="A14" s="20" t="s">
        <v>9</v>
      </c>
      <c r="B14" s="21">
        <v>1500000</v>
      </c>
      <c r="C14" s="21">
        <v>1500000</v>
      </c>
      <c r="D14" s="3">
        <f>C14/B14</f>
        <v>1</v>
      </c>
    </row>
    <row r="15" spans="1:4" x14ac:dyDescent="0.2">
      <c r="A15" s="17" t="s">
        <v>16</v>
      </c>
      <c r="B15" s="36">
        <f>SUM(B14:B14)</f>
        <v>1500000</v>
      </c>
      <c r="C15" s="36">
        <f>SUM(C14:C14)</f>
        <v>1500000</v>
      </c>
      <c r="D15" s="19">
        <f>C15/B15</f>
        <v>1</v>
      </c>
    </row>
    <row r="18" spans="1:4" x14ac:dyDescent="0.2">
      <c r="A18" s="9" t="s">
        <v>29</v>
      </c>
      <c r="B18" s="10"/>
      <c r="C18" s="10"/>
      <c r="D18" s="10"/>
    </row>
    <row r="19" spans="1:4" x14ac:dyDescent="0.2">
      <c r="A19" s="11" t="s">
        <v>5</v>
      </c>
      <c r="B19" s="12" t="s">
        <v>24</v>
      </c>
      <c r="C19" s="13" t="s">
        <v>25</v>
      </c>
      <c r="D19" s="14" t="s">
        <v>26</v>
      </c>
    </row>
    <row r="20" spans="1:4" x14ac:dyDescent="0.2">
      <c r="A20" s="20" t="s">
        <v>6</v>
      </c>
      <c r="B20" s="21">
        <v>248972.16</v>
      </c>
      <c r="C20" s="21">
        <v>506720.64</v>
      </c>
      <c r="D20" s="22">
        <f>C20/B20</f>
        <v>2.0352502062881248</v>
      </c>
    </row>
    <row r="21" spans="1:4" x14ac:dyDescent="0.2">
      <c r="A21" s="20" t="s">
        <v>14</v>
      </c>
      <c r="B21" s="21">
        <v>270000</v>
      </c>
      <c r="C21" s="21">
        <v>556688.68000000005</v>
      </c>
      <c r="D21" s="22">
        <f t="shared" ref="D21:D28" si="0">C21/B21</f>
        <v>2.0618099259259259</v>
      </c>
    </row>
    <row r="22" spans="1:4" x14ac:dyDescent="0.2">
      <c r="A22" s="20" t="s">
        <v>7</v>
      </c>
      <c r="B22" s="21">
        <v>395268.15</v>
      </c>
      <c r="C22" s="21">
        <v>481331.54000000004</v>
      </c>
      <c r="D22" s="22">
        <f t="shared" si="0"/>
        <v>1.2177341888032214</v>
      </c>
    </row>
    <row r="23" spans="1:4" x14ac:dyDescent="0.2">
      <c r="A23" s="20" t="s">
        <v>8</v>
      </c>
      <c r="B23" s="21">
        <f>882837.76*3</f>
        <v>2648513.2800000003</v>
      </c>
      <c r="C23" s="21">
        <v>2305545.42</v>
      </c>
      <c r="D23" s="22">
        <f t="shared" si="0"/>
        <v>0.87050551621172145</v>
      </c>
    </row>
    <row r="24" spans="1:4" x14ac:dyDescent="0.2">
      <c r="A24" s="20" t="s">
        <v>9</v>
      </c>
      <c r="B24" s="21">
        <v>969249.81</v>
      </c>
      <c r="C24" s="21">
        <v>417282.5</v>
      </c>
      <c r="D24" s="22">
        <f t="shared" si="0"/>
        <v>0.43052110580243497</v>
      </c>
    </row>
    <row r="25" spans="1:4" x14ac:dyDescent="0.2">
      <c r="A25" s="20" t="s">
        <v>10</v>
      </c>
      <c r="B25" s="21">
        <v>179630.88</v>
      </c>
      <c r="C25" s="21">
        <v>122758</v>
      </c>
      <c r="D25" s="22">
        <f t="shared" si="0"/>
        <v>0.6833902945863205</v>
      </c>
    </row>
    <row r="26" spans="1:4" x14ac:dyDescent="0.2">
      <c r="A26" s="20" t="s">
        <v>11</v>
      </c>
      <c r="B26" s="21">
        <v>141234.06</v>
      </c>
      <c r="C26" s="21">
        <v>184839.28</v>
      </c>
      <c r="D26" s="22">
        <f t="shared" si="0"/>
        <v>1.3087443637887348</v>
      </c>
    </row>
    <row r="27" spans="1:4" x14ac:dyDescent="0.2">
      <c r="A27" s="20" t="s">
        <v>27</v>
      </c>
      <c r="B27" s="21">
        <v>574130.88</v>
      </c>
      <c r="C27" s="21">
        <v>898742.24</v>
      </c>
      <c r="D27" s="22">
        <f t="shared" si="0"/>
        <v>1.5653960992308931</v>
      </c>
    </row>
    <row r="28" spans="1:4" x14ac:dyDescent="0.2">
      <c r="A28" s="20" t="s">
        <v>13</v>
      </c>
      <c r="B28" s="21">
        <v>10380</v>
      </c>
      <c r="C28" s="21">
        <v>6438</v>
      </c>
      <c r="D28" s="22">
        <f t="shared" si="0"/>
        <v>0.62023121387283242</v>
      </c>
    </row>
    <row r="29" spans="1:4" x14ac:dyDescent="0.2">
      <c r="A29" s="23" t="s">
        <v>16</v>
      </c>
      <c r="B29" s="36">
        <f>SUM(B20:B28)</f>
        <v>5437379.2199999997</v>
      </c>
      <c r="C29" s="36">
        <f>SUM(C20:C28)</f>
        <v>5480346.3000000007</v>
      </c>
      <c r="D29" s="24">
        <f>C29/B29</f>
        <v>1.007902167250347</v>
      </c>
    </row>
    <row r="32" spans="1:4" x14ac:dyDescent="0.2">
      <c r="A32" s="9" t="s">
        <v>34</v>
      </c>
      <c r="B32" s="10"/>
      <c r="C32" s="10"/>
      <c r="D32" s="10"/>
    </row>
    <row r="33" spans="1:4" x14ac:dyDescent="0.2">
      <c r="A33" s="11" t="s">
        <v>5</v>
      </c>
      <c r="B33" s="12" t="s">
        <v>24</v>
      </c>
      <c r="C33" s="13" t="s">
        <v>25</v>
      </c>
      <c r="D33" s="14" t="s">
        <v>26</v>
      </c>
    </row>
    <row r="34" spans="1:4" x14ac:dyDescent="0.2">
      <c r="A34" s="15" t="s">
        <v>8</v>
      </c>
      <c r="B34" s="21">
        <v>243930.36</v>
      </c>
      <c r="C34" s="21">
        <v>236605.34</v>
      </c>
      <c r="D34" s="16">
        <f>C34/B34</f>
        <v>0.96997085561633256</v>
      </c>
    </row>
    <row r="35" spans="1:4" x14ac:dyDescent="0.2">
      <c r="A35" s="15" t="s">
        <v>9</v>
      </c>
      <c r="B35" s="21">
        <f>3402124.8+1500000</f>
        <v>4902124.8</v>
      </c>
      <c r="C35" s="21">
        <f>3402124.8+1500000</f>
        <v>4902124.8</v>
      </c>
      <c r="D35" s="16">
        <f>C35/B35</f>
        <v>1</v>
      </c>
    </row>
    <row r="36" spans="1:4" x14ac:dyDescent="0.2">
      <c r="A36" s="17" t="s">
        <v>16</v>
      </c>
      <c r="B36" s="36">
        <f>SUM(B34:B35)</f>
        <v>5146055.16</v>
      </c>
      <c r="C36" s="36">
        <f>SUM(C34:C35)</f>
        <v>5138730.1399999997</v>
      </c>
      <c r="D36" s="19">
        <f>C36/B36</f>
        <v>0.99857657569298175</v>
      </c>
    </row>
    <row r="39" spans="1:4" x14ac:dyDescent="0.2">
      <c r="A39" s="9" t="s">
        <v>35</v>
      </c>
      <c r="B39" s="10"/>
      <c r="C39" s="10"/>
      <c r="D39" s="10"/>
    </row>
    <row r="40" spans="1:4" x14ac:dyDescent="0.2">
      <c r="A40" s="11" t="s">
        <v>5</v>
      </c>
      <c r="B40" s="12" t="s">
        <v>24</v>
      </c>
      <c r="C40" s="13" t="s">
        <v>25</v>
      </c>
      <c r="D40" s="14" t="s">
        <v>26</v>
      </c>
    </row>
    <row r="41" spans="1:4" x14ac:dyDescent="0.2">
      <c r="A41" s="15" t="s">
        <v>6</v>
      </c>
      <c r="B41" s="21">
        <v>746916.48</v>
      </c>
      <c r="C41" s="21">
        <v>1012641.9400000001</v>
      </c>
      <c r="D41" s="16">
        <f>C41/B41</f>
        <v>1.3557632842697487</v>
      </c>
    </row>
    <row r="42" spans="1:4" x14ac:dyDescent="0.2">
      <c r="A42" s="15" t="s">
        <v>14</v>
      </c>
      <c r="B42" s="21">
        <v>810000</v>
      </c>
      <c r="C42" s="21">
        <v>1493708.94</v>
      </c>
      <c r="D42" s="16">
        <f t="shared" ref="D42:D52" si="1">C42/B42</f>
        <v>1.844085111111111</v>
      </c>
    </row>
    <row r="43" spans="1:4" x14ac:dyDescent="0.2">
      <c r="A43" s="15" t="s">
        <v>7</v>
      </c>
      <c r="B43" s="21">
        <v>1185804.4500000002</v>
      </c>
      <c r="C43" s="21">
        <v>1168645.57</v>
      </c>
      <c r="D43" s="16">
        <f t="shared" si="1"/>
        <v>0.98552975577043911</v>
      </c>
    </row>
    <row r="44" spans="1:4" x14ac:dyDescent="0.2">
      <c r="A44" s="15" t="s">
        <v>8</v>
      </c>
      <c r="B44" s="21">
        <v>7945539.9299999997</v>
      </c>
      <c r="C44" s="21">
        <v>7910208.9100000001</v>
      </c>
      <c r="D44" s="16">
        <f t="shared" si="1"/>
        <v>0.9955533519041796</v>
      </c>
    </row>
    <row r="45" spans="1:4" x14ac:dyDescent="0.2">
      <c r="A45" s="15" t="s">
        <v>9</v>
      </c>
      <c r="B45" s="21">
        <v>2505624.63</v>
      </c>
      <c r="C45" s="21">
        <v>897379.65000000037</v>
      </c>
      <c r="D45" s="16">
        <f t="shared" si="1"/>
        <v>0.35814608431590983</v>
      </c>
    </row>
    <row r="46" spans="1:4" x14ac:dyDescent="0.2">
      <c r="A46" s="15" t="s">
        <v>10</v>
      </c>
      <c r="B46" s="21">
        <v>538892.64</v>
      </c>
      <c r="C46" s="21">
        <v>411524.14</v>
      </c>
      <c r="D46" s="16">
        <f t="shared" si="1"/>
        <v>0.76364772768097189</v>
      </c>
    </row>
    <row r="47" spans="1:4" x14ac:dyDescent="0.2">
      <c r="A47" s="15" t="s">
        <v>11</v>
      </c>
      <c r="B47" s="21">
        <v>423702.18</v>
      </c>
      <c r="C47" s="21">
        <v>678780.09</v>
      </c>
      <c r="D47" s="16">
        <f t="shared" si="1"/>
        <v>1.6020217077948478</v>
      </c>
    </row>
    <row r="48" spans="1:4" x14ac:dyDescent="0.2">
      <c r="A48" s="15" t="s">
        <v>27</v>
      </c>
      <c r="B48" s="21">
        <v>1722392.64</v>
      </c>
      <c r="C48" s="21">
        <v>2610124.98</v>
      </c>
      <c r="D48" s="16">
        <f t="shared" si="1"/>
        <v>1.5154064871062154</v>
      </c>
    </row>
    <row r="49" spans="1:4" x14ac:dyDescent="0.2">
      <c r="A49" s="15" t="s">
        <v>28</v>
      </c>
      <c r="B49" s="21">
        <v>85000</v>
      </c>
      <c r="C49" s="21">
        <v>0</v>
      </c>
      <c r="D49" s="16">
        <f t="shared" si="1"/>
        <v>0</v>
      </c>
    </row>
    <row r="50" spans="1:4" x14ac:dyDescent="0.2">
      <c r="A50" s="15" t="s">
        <v>13</v>
      </c>
      <c r="B50" s="21">
        <v>31140</v>
      </c>
      <c r="C50" s="21">
        <v>53850</v>
      </c>
      <c r="D50" s="16">
        <f t="shared" si="1"/>
        <v>1.7292870905587669</v>
      </c>
    </row>
    <row r="51" spans="1:4" x14ac:dyDescent="0.2">
      <c r="A51" s="15" t="s">
        <v>15</v>
      </c>
      <c r="B51" s="21">
        <v>0</v>
      </c>
      <c r="C51" s="21">
        <f>20000.3+165874.36</f>
        <v>185874.65999999997</v>
      </c>
      <c r="D51" s="16">
        <v>0</v>
      </c>
    </row>
    <row r="52" spans="1:4" x14ac:dyDescent="0.2">
      <c r="A52" s="17" t="s">
        <v>16</v>
      </c>
      <c r="B52" s="36">
        <v>15995012.949999999</v>
      </c>
      <c r="C52" s="36">
        <f>SUM(C41:C51)</f>
        <v>16422738.880000001</v>
      </c>
      <c r="D52" s="37">
        <f t="shared" si="1"/>
        <v>1.0267412056080893</v>
      </c>
    </row>
    <row r="55" spans="1:4" x14ac:dyDescent="0.2">
      <c r="A55" s="9" t="s">
        <v>36</v>
      </c>
      <c r="B55" s="10"/>
      <c r="C55" s="10"/>
      <c r="D55" s="10"/>
    </row>
    <row r="56" spans="1:4" x14ac:dyDescent="0.2">
      <c r="A56" s="11" t="s">
        <v>5</v>
      </c>
      <c r="B56" s="12" t="s">
        <v>24</v>
      </c>
      <c r="C56" s="13" t="s">
        <v>25</v>
      </c>
      <c r="D56" s="14" t="s">
        <v>26</v>
      </c>
    </row>
    <row r="57" spans="1:4" x14ac:dyDescent="0.2">
      <c r="A57" s="20" t="s">
        <v>17</v>
      </c>
      <c r="B57" s="21">
        <f>6000*12</f>
        <v>72000</v>
      </c>
      <c r="C57" s="21">
        <v>72106.990000000005</v>
      </c>
      <c r="D57" s="25">
        <f t="shared" ref="D57:D64" si="2">C57/B57</f>
        <v>1.0014859722222222</v>
      </c>
    </row>
    <row r="58" spans="1:4" x14ac:dyDescent="0.2">
      <c r="A58" s="20" t="s">
        <v>6</v>
      </c>
      <c r="B58" s="21">
        <f>2700*12</f>
        <v>32400</v>
      </c>
      <c r="C58" s="21">
        <v>34310.99</v>
      </c>
      <c r="D58" s="25">
        <f t="shared" si="2"/>
        <v>1.0589811728395062</v>
      </c>
    </row>
    <row r="59" spans="1:4" x14ac:dyDescent="0.2">
      <c r="A59" s="20" t="s">
        <v>7</v>
      </c>
      <c r="B59" s="21">
        <f>56992.74*12</f>
        <v>683912.88</v>
      </c>
      <c r="C59" s="21">
        <v>348979.35</v>
      </c>
      <c r="D59" s="25">
        <f t="shared" si="2"/>
        <v>0.5102687201913787</v>
      </c>
    </row>
    <row r="60" spans="1:4" x14ac:dyDescent="0.2">
      <c r="A60" s="20" t="s">
        <v>8</v>
      </c>
      <c r="B60" s="21">
        <v>2387578.52</v>
      </c>
      <c r="C60" s="21">
        <v>2480922.88</v>
      </c>
      <c r="D60" s="25">
        <f t="shared" si="2"/>
        <v>1.0390958283541603</v>
      </c>
    </row>
    <row r="61" spans="1:4" x14ac:dyDescent="0.2">
      <c r="A61" s="20" t="s">
        <v>18</v>
      </c>
      <c r="B61" s="21">
        <f>119964.08*12</f>
        <v>1439568.96</v>
      </c>
      <c r="C61" s="21">
        <v>857680</v>
      </c>
      <c r="D61" s="25">
        <f t="shared" si="2"/>
        <v>0.59578945075336998</v>
      </c>
    </row>
    <row r="62" spans="1:4" x14ac:dyDescent="0.2">
      <c r="A62" s="20" t="s">
        <v>19</v>
      </c>
      <c r="B62" s="21">
        <f>900*12</f>
        <v>10800</v>
      </c>
      <c r="C62" s="21">
        <v>91792.62</v>
      </c>
      <c r="D62" s="25">
        <f t="shared" si="2"/>
        <v>8.4993166666666671</v>
      </c>
    </row>
    <row r="63" spans="1:4" x14ac:dyDescent="0.2">
      <c r="A63" s="20" t="s">
        <v>11</v>
      </c>
      <c r="B63" s="21">
        <f>7500*12</f>
        <v>90000</v>
      </c>
      <c r="C63" s="21">
        <v>58321.84</v>
      </c>
      <c r="D63" s="25">
        <f t="shared" si="2"/>
        <v>0.6480204444444444</v>
      </c>
    </row>
    <row r="64" spans="1:4" x14ac:dyDescent="0.2">
      <c r="A64" s="20" t="s">
        <v>20</v>
      </c>
      <c r="B64" s="21">
        <f>17405.23*12</f>
        <v>208862.76</v>
      </c>
      <c r="C64" s="21">
        <v>413583.95</v>
      </c>
      <c r="D64" s="25">
        <f t="shared" si="2"/>
        <v>1.9801708547756431</v>
      </c>
    </row>
    <row r="65" spans="1:4" x14ac:dyDescent="0.2">
      <c r="A65" s="15" t="s">
        <v>15</v>
      </c>
      <c r="B65" s="21">
        <v>0</v>
      </c>
      <c r="C65" s="21">
        <v>35142.81</v>
      </c>
      <c r="D65" s="25">
        <v>0</v>
      </c>
    </row>
    <row r="66" spans="1:4" x14ac:dyDescent="0.2">
      <c r="A66" s="26" t="s">
        <v>16</v>
      </c>
      <c r="B66" s="36">
        <f>SUM(B57:B65)</f>
        <v>4925123.1199999992</v>
      </c>
      <c r="C66" s="36">
        <f>SUM(C57:C65)</f>
        <v>4392841.43</v>
      </c>
      <c r="D66" s="27">
        <f>C66/B66</f>
        <v>0.89192520125263397</v>
      </c>
    </row>
    <row r="69" spans="1:4" x14ac:dyDescent="0.2">
      <c r="A69" s="9" t="s">
        <v>37</v>
      </c>
      <c r="B69" s="10"/>
      <c r="C69" s="10"/>
      <c r="D69" s="10"/>
    </row>
    <row r="70" spans="1:4" x14ac:dyDescent="0.2">
      <c r="A70" s="11" t="s">
        <v>5</v>
      </c>
      <c r="B70" s="12" t="s">
        <v>24</v>
      </c>
      <c r="C70" s="13" t="s">
        <v>25</v>
      </c>
      <c r="D70" s="14" t="s">
        <v>26</v>
      </c>
    </row>
    <row r="71" spans="1:4" x14ac:dyDescent="0.2">
      <c r="A71" s="20" t="s">
        <v>8</v>
      </c>
      <c r="B71" s="21">
        <v>272648.77</v>
      </c>
      <c r="C71" s="21">
        <v>254329.18</v>
      </c>
      <c r="D71" s="28">
        <f>C71/B71</f>
        <v>0.93280882946950383</v>
      </c>
    </row>
    <row r="72" spans="1:4" x14ac:dyDescent="0.2">
      <c r="A72" s="20" t="s">
        <v>9</v>
      </c>
      <c r="B72" s="21">
        <f>(2100000/12)*12</f>
        <v>2100000</v>
      </c>
      <c r="C72" s="21">
        <f>(2100000/12)*12</f>
        <v>2100000</v>
      </c>
      <c r="D72" s="28">
        <f>C72/B72</f>
        <v>1</v>
      </c>
    </row>
    <row r="73" spans="1:4" x14ac:dyDescent="0.2">
      <c r="A73" s="17" t="s">
        <v>16</v>
      </c>
      <c r="B73" s="36">
        <f>SUM(B71:B72)</f>
        <v>2372648.77</v>
      </c>
      <c r="C73" s="36">
        <f>SUM(C71:C72)</f>
        <v>2354329.1800000002</v>
      </c>
      <c r="D73" s="19">
        <f>C73/B73</f>
        <v>0.99227884454216975</v>
      </c>
    </row>
    <row r="76" spans="1:4" x14ac:dyDescent="0.2">
      <c r="A76" s="9" t="s">
        <v>31</v>
      </c>
      <c r="B76" s="10"/>
      <c r="C76" s="10"/>
      <c r="D76" s="10"/>
    </row>
    <row r="77" spans="1:4" x14ac:dyDescent="0.2">
      <c r="A77" s="11" t="s">
        <v>5</v>
      </c>
      <c r="B77" s="12" t="s">
        <v>24</v>
      </c>
      <c r="C77" s="13" t="s">
        <v>25</v>
      </c>
      <c r="D77" s="14" t="s">
        <v>26</v>
      </c>
    </row>
    <row r="78" spans="1:4" x14ac:dyDescent="0.2">
      <c r="A78" s="20" t="s">
        <v>6</v>
      </c>
      <c r="B78" s="21">
        <f>(830553.72/12)*12</f>
        <v>830553.72</v>
      </c>
      <c r="C78" s="29">
        <v>1063053.54</v>
      </c>
      <c r="D78" s="22">
        <f>C78/B78</f>
        <v>1.2799335123079096</v>
      </c>
    </row>
    <row r="79" spans="1:4" x14ac:dyDescent="0.2">
      <c r="A79" s="20" t="s">
        <v>14</v>
      </c>
      <c r="B79" s="21">
        <f>(1080000/12)*12</f>
        <v>1080000</v>
      </c>
      <c r="C79" s="29">
        <v>1968707.35</v>
      </c>
      <c r="D79" s="22">
        <f t="shared" ref="D79:D87" si="3">C79/B79</f>
        <v>1.8228771759259259</v>
      </c>
    </row>
    <row r="80" spans="1:4" x14ac:dyDescent="0.2">
      <c r="A80" s="20" t="s">
        <v>7</v>
      </c>
      <c r="B80" s="21">
        <f>(1602248.4/12)*12</f>
        <v>1602248.4</v>
      </c>
      <c r="C80" s="29">
        <v>1832883.4000000001</v>
      </c>
      <c r="D80" s="22">
        <f t="shared" si="3"/>
        <v>1.1439445968552693</v>
      </c>
    </row>
    <row r="81" spans="1:4" x14ac:dyDescent="0.2">
      <c r="A81" s="20" t="s">
        <v>8</v>
      </c>
      <c r="B81" s="21">
        <v>9301674.3599999994</v>
      </c>
      <c r="C81" s="29">
        <v>8407792.7400000002</v>
      </c>
      <c r="D81" s="22">
        <f t="shared" si="3"/>
        <v>0.90390099831445836</v>
      </c>
    </row>
    <row r="82" spans="1:4" x14ac:dyDescent="0.2">
      <c r="A82" s="20" t="s">
        <v>9</v>
      </c>
      <c r="B82" s="21">
        <v>8790834.3599999994</v>
      </c>
      <c r="C82" s="29">
        <v>6483081.0399999991</v>
      </c>
      <c r="D82" s="22">
        <f t="shared" si="3"/>
        <v>0.73748187879631477</v>
      </c>
    </row>
    <row r="83" spans="1:4" x14ac:dyDescent="0.2">
      <c r="A83" s="20" t="s">
        <v>10</v>
      </c>
      <c r="B83" s="21">
        <f>(503749.92/12)*12</f>
        <v>503749.91999999993</v>
      </c>
      <c r="C83" s="29">
        <v>435138.36</v>
      </c>
      <c r="D83" s="22">
        <f t="shared" si="3"/>
        <v>0.86379837042951801</v>
      </c>
    </row>
    <row r="84" spans="1:4" x14ac:dyDescent="0.2">
      <c r="A84" s="20" t="s">
        <v>11</v>
      </c>
      <c r="B84" s="21">
        <f>(346484.04/12)*12</f>
        <v>346484.04</v>
      </c>
      <c r="C84" s="29">
        <v>506955.6</v>
      </c>
      <c r="D84" s="22">
        <f t="shared" si="3"/>
        <v>1.4631427179156651</v>
      </c>
    </row>
    <row r="85" spans="1:4" x14ac:dyDescent="0.2">
      <c r="A85" s="20" t="s">
        <v>12</v>
      </c>
      <c r="B85" s="30">
        <f>(1758325.68/12)*12</f>
        <v>1758325.6799999997</v>
      </c>
      <c r="C85" s="29">
        <v>3188909.84</v>
      </c>
      <c r="D85" s="22">
        <f t="shared" si="3"/>
        <v>1.8136059071832473</v>
      </c>
    </row>
    <row r="86" spans="1:4" x14ac:dyDescent="0.2">
      <c r="A86" s="31" t="s">
        <v>13</v>
      </c>
      <c r="B86" s="32">
        <f>(37680/12)*12</f>
        <v>37680</v>
      </c>
      <c r="C86" s="33">
        <v>3944.85</v>
      </c>
      <c r="D86" s="22">
        <f t="shared" si="3"/>
        <v>0.10469347133757961</v>
      </c>
    </row>
    <row r="87" spans="1:4" x14ac:dyDescent="0.2">
      <c r="A87" s="31" t="s">
        <v>32</v>
      </c>
      <c r="B87" s="32">
        <v>65000</v>
      </c>
      <c r="C87" s="33">
        <v>0</v>
      </c>
      <c r="D87" s="22">
        <f t="shared" si="3"/>
        <v>0</v>
      </c>
    </row>
    <row r="88" spans="1:4" x14ac:dyDescent="0.2">
      <c r="A88" s="20" t="s">
        <v>15</v>
      </c>
      <c r="B88" s="32">
        <v>0</v>
      </c>
      <c r="C88" s="29">
        <v>37215.910000000003</v>
      </c>
      <c r="D88" s="22">
        <v>0</v>
      </c>
    </row>
    <row r="89" spans="1:4" x14ac:dyDescent="0.2">
      <c r="A89" s="17" t="s">
        <v>16</v>
      </c>
      <c r="B89" s="36">
        <f>SUM(B78:B88)</f>
        <v>24316550.479999997</v>
      </c>
      <c r="C89" s="36">
        <f>SUM(C78:C88)</f>
        <v>23927682.630000003</v>
      </c>
      <c r="D89" s="19">
        <f>C89/B89</f>
        <v>0.98400809973767323</v>
      </c>
    </row>
    <row r="92" spans="1:4" x14ac:dyDescent="0.2">
      <c r="A92" s="9" t="s">
        <v>38</v>
      </c>
      <c r="B92" s="10"/>
      <c r="C92" s="10"/>
      <c r="D92" s="10"/>
    </row>
    <row r="93" spans="1:4" x14ac:dyDescent="0.2">
      <c r="A93" s="11" t="s">
        <v>5</v>
      </c>
      <c r="B93" s="12" t="s">
        <v>24</v>
      </c>
      <c r="C93" s="13" t="s">
        <v>25</v>
      </c>
      <c r="D93" s="14" t="s">
        <v>26</v>
      </c>
    </row>
    <row r="94" spans="1:4" x14ac:dyDescent="0.2">
      <c r="A94" s="20" t="s">
        <v>8</v>
      </c>
      <c r="B94" s="21">
        <v>241223.48</v>
      </c>
      <c r="C94" s="21">
        <v>234558.52</v>
      </c>
      <c r="D94" s="28">
        <f>C94/B94</f>
        <v>0.97237018552257015</v>
      </c>
    </row>
    <row r="95" spans="1:4" x14ac:dyDescent="0.2">
      <c r="A95" s="17" t="s">
        <v>16</v>
      </c>
      <c r="B95" s="36">
        <v>241223.48</v>
      </c>
      <c r="C95" s="36">
        <v>234558.52</v>
      </c>
      <c r="D95" s="19">
        <v>0.97237018552257015</v>
      </c>
    </row>
    <row r="98" spans="1:4" x14ac:dyDescent="0.2">
      <c r="A98" s="9" t="s">
        <v>39</v>
      </c>
      <c r="B98" s="10"/>
      <c r="C98" s="10"/>
      <c r="D98" s="10"/>
    </row>
    <row r="99" spans="1:4" x14ac:dyDescent="0.2">
      <c r="A99" s="11" t="s">
        <v>5</v>
      </c>
      <c r="B99" s="12" t="s">
        <v>24</v>
      </c>
      <c r="C99" s="13" t="s">
        <v>25</v>
      </c>
      <c r="D99" s="14" t="s">
        <v>26</v>
      </c>
    </row>
    <row r="100" spans="1:4" x14ac:dyDescent="0.2">
      <c r="A100" s="20" t="s">
        <v>6</v>
      </c>
      <c r="B100" s="21">
        <f>(1006514.28/12)*12</f>
        <v>1006514.28</v>
      </c>
      <c r="C100" s="21">
        <v>760664.69</v>
      </c>
      <c r="D100" s="28">
        <f>C100/B100</f>
        <v>0.75574157775486295</v>
      </c>
    </row>
    <row r="101" spans="1:4" x14ac:dyDescent="0.2">
      <c r="A101" s="20" t="s">
        <v>14</v>
      </c>
      <c r="B101" s="21">
        <f>(1080000/12)*12</f>
        <v>1080000</v>
      </c>
      <c r="C101" s="21">
        <v>1131938.6200000001</v>
      </c>
      <c r="D101" s="28">
        <f t="shared" ref="D101:D109" si="4">C101/B101</f>
        <v>1.048091314814815</v>
      </c>
    </row>
    <row r="102" spans="1:4" x14ac:dyDescent="0.2">
      <c r="A102" s="20" t="s">
        <v>7</v>
      </c>
      <c r="B102" s="21">
        <f>(1598648.4/12)*12</f>
        <v>1598648.4</v>
      </c>
      <c r="C102" s="21">
        <v>1703839.85</v>
      </c>
      <c r="D102" s="28">
        <f t="shared" si="4"/>
        <v>1.0658002410035878</v>
      </c>
    </row>
    <row r="103" spans="1:4" x14ac:dyDescent="0.2">
      <c r="A103" s="20" t="s">
        <v>8</v>
      </c>
      <c r="B103" s="21">
        <f>(9301671.84/12)*12</f>
        <v>9301671.8399999999</v>
      </c>
      <c r="C103" s="21">
        <v>8500052.6900000013</v>
      </c>
      <c r="D103" s="28">
        <f t="shared" si="4"/>
        <v>0.91381988487781374</v>
      </c>
    </row>
    <row r="104" spans="1:4" x14ac:dyDescent="0.2">
      <c r="A104" s="20" t="s">
        <v>9</v>
      </c>
      <c r="B104" s="21">
        <f>(10541780.4/12)*12</f>
        <v>10541780.4</v>
      </c>
      <c r="C104" s="21">
        <v>8538155.7100000009</v>
      </c>
      <c r="D104" s="28">
        <f t="shared" si="4"/>
        <v>0.80993488633096555</v>
      </c>
    </row>
    <row r="105" spans="1:4" x14ac:dyDescent="0.2">
      <c r="A105" s="20" t="s">
        <v>10</v>
      </c>
      <c r="B105" s="21">
        <f>(479749.92/12)*12</f>
        <v>479749.91999999993</v>
      </c>
      <c r="C105" s="21">
        <v>328934.49</v>
      </c>
      <c r="D105" s="28">
        <f t="shared" si="4"/>
        <v>0.68563740458779032</v>
      </c>
    </row>
    <row r="106" spans="1:4" x14ac:dyDescent="0.2">
      <c r="A106" s="20" t="s">
        <v>11</v>
      </c>
      <c r="B106" s="21">
        <f>(202101.6/12)*12</f>
        <v>202101.59999999998</v>
      </c>
      <c r="C106" s="21">
        <v>627034.85</v>
      </c>
      <c r="D106" s="28">
        <f t="shared" si="4"/>
        <v>3.1025724190209285</v>
      </c>
    </row>
    <row r="107" spans="1:4" x14ac:dyDescent="0.2">
      <c r="A107" s="20" t="s">
        <v>12</v>
      </c>
      <c r="B107" s="21">
        <f>(1723397.04/12)*12</f>
        <v>1723397.04</v>
      </c>
      <c r="C107" s="21">
        <v>3023182.65</v>
      </c>
      <c r="D107" s="28">
        <f t="shared" si="4"/>
        <v>1.7541997461014553</v>
      </c>
    </row>
    <row r="108" spans="1:4" x14ac:dyDescent="0.2">
      <c r="A108" s="20" t="s">
        <v>13</v>
      </c>
      <c r="B108" s="21">
        <f>(37680/12)*12</f>
        <v>37680</v>
      </c>
      <c r="C108" s="21">
        <v>26232.19</v>
      </c>
      <c r="D108" s="28">
        <f t="shared" si="4"/>
        <v>0.69618338641188959</v>
      </c>
    </row>
    <row r="109" spans="1:4" x14ac:dyDescent="0.2">
      <c r="A109" s="20" t="s">
        <v>33</v>
      </c>
      <c r="B109" s="21">
        <v>80000</v>
      </c>
      <c r="C109" s="21">
        <v>0</v>
      </c>
      <c r="D109" s="28">
        <f t="shared" si="4"/>
        <v>0</v>
      </c>
    </row>
    <row r="110" spans="1:4" x14ac:dyDescent="0.2">
      <c r="A110" s="20" t="s">
        <v>15</v>
      </c>
      <c r="B110" s="21">
        <f>0*3</f>
        <v>0</v>
      </c>
      <c r="C110" s="21">
        <v>1226.08</v>
      </c>
      <c r="D110" s="28">
        <v>0</v>
      </c>
    </row>
    <row r="111" spans="1:4" x14ac:dyDescent="0.2">
      <c r="A111" s="17" t="s">
        <v>16</v>
      </c>
      <c r="B111" s="36">
        <f>SUM(B100:B110)</f>
        <v>26051543.480000004</v>
      </c>
      <c r="C111" s="36">
        <f>SUM(C100:C110)</f>
        <v>24641261.82</v>
      </c>
      <c r="D111" s="19">
        <f>C111/B111</f>
        <v>0.94586571574606748</v>
      </c>
    </row>
    <row r="114" spans="1:4" x14ac:dyDescent="0.2">
      <c r="A114" s="9" t="s">
        <v>40</v>
      </c>
      <c r="B114" s="10"/>
      <c r="C114" s="10"/>
      <c r="D114" s="10"/>
    </row>
    <row r="115" spans="1:4" x14ac:dyDescent="0.2">
      <c r="A115" s="11" t="s">
        <v>5</v>
      </c>
      <c r="B115" s="12" t="s">
        <v>24</v>
      </c>
      <c r="C115" s="13" t="s">
        <v>25</v>
      </c>
      <c r="D115" s="14" t="s">
        <v>26</v>
      </c>
    </row>
    <row r="116" spans="1:4" x14ac:dyDescent="0.2">
      <c r="A116" s="20" t="s">
        <v>8</v>
      </c>
      <c r="B116" s="21">
        <v>233471.07</v>
      </c>
      <c r="C116" s="21">
        <v>166876.08000000002</v>
      </c>
      <c r="D116" s="34">
        <f>C116/B116</f>
        <v>0.71476127641853016</v>
      </c>
    </row>
    <row r="117" spans="1:4" x14ac:dyDescent="0.2">
      <c r="A117" s="18" t="s">
        <v>16</v>
      </c>
      <c r="B117" s="36">
        <v>233471.07</v>
      </c>
      <c r="C117" s="36">
        <v>166876.08000000002</v>
      </c>
      <c r="D117" s="19">
        <v>0.71476127641853016</v>
      </c>
    </row>
    <row r="120" spans="1:4" x14ac:dyDescent="0.2">
      <c r="A120" s="9" t="s">
        <v>41</v>
      </c>
      <c r="B120" s="10"/>
      <c r="C120" s="10"/>
      <c r="D120" s="10"/>
    </row>
    <row r="121" spans="1:4" x14ac:dyDescent="0.2">
      <c r="A121" s="11" t="s">
        <v>5</v>
      </c>
      <c r="B121" s="12" t="s">
        <v>24</v>
      </c>
      <c r="C121" s="13" t="s">
        <v>25</v>
      </c>
      <c r="D121" s="14" t="s">
        <v>26</v>
      </c>
    </row>
    <row r="122" spans="1:4" x14ac:dyDescent="0.2">
      <c r="A122" s="20" t="s">
        <v>6</v>
      </c>
      <c r="B122" s="21">
        <f>(822782.88/12)*12</f>
        <v>822782.88000000012</v>
      </c>
      <c r="C122" s="21">
        <v>846441.72</v>
      </c>
      <c r="D122" s="34">
        <f>C122/B122</f>
        <v>1.028754657607849</v>
      </c>
    </row>
    <row r="123" spans="1:4" x14ac:dyDescent="0.2">
      <c r="A123" s="20" t="s">
        <v>14</v>
      </c>
      <c r="B123" s="21">
        <f>(1080000/12)*12</f>
        <v>1080000</v>
      </c>
      <c r="C123" s="21">
        <v>1584754.63</v>
      </c>
      <c r="D123" s="34">
        <f t="shared" ref="D123:D131" si="5">C123/B123</f>
        <v>1.467365398148148</v>
      </c>
    </row>
    <row r="124" spans="1:4" x14ac:dyDescent="0.2">
      <c r="A124" s="20" t="s">
        <v>7</v>
      </c>
      <c r="B124" s="21">
        <f>(1602248.4/12)*12</f>
        <v>1602248.4</v>
      </c>
      <c r="C124" s="21">
        <v>1586237.54</v>
      </c>
      <c r="D124" s="34">
        <f t="shared" si="5"/>
        <v>0.99000725480518514</v>
      </c>
    </row>
    <row r="125" spans="1:4" x14ac:dyDescent="0.2">
      <c r="A125" s="20" t="s">
        <v>8</v>
      </c>
      <c r="B125" s="21">
        <v>9248000.8699999992</v>
      </c>
      <c r="C125" s="21">
        <v>8257613.3100000005</v>
      </c>
      <c r="D125" s="34">
        <f t="shared" si="5"/>
        <v>0.89290792962479482</v>
      </c>
    </row>
    <row r="126" spans="1:4" x14ac:dyDescent="0.2">
      <c r="A126" s="20" t="s">
        <v>9</v>
      </c>
      <c r="B126" s="21">
        <f>(10890834.36/12)*12</f>
        <v>10890834.359999999</v>
      </c>
      <c r="C126" s="21">
        <v>8512822.0099999998</v>
      </c>
      <c r="D126" s="34">
        <f t="shared" si="5"/>
        <v>0.78165012235114006</v>
      </c>
    </row>
    <row r="127" spans="1:4" x14ac:dyDescent="0.2">
      <c r="A127" s="20" t="s">
        <v>10</v>
      </c>
      <c r="B127" s="21">
        <f>(503749.92/12)*12</f>
        <v>503749.91999999993</v>
      </c>
      <c r="C127" s="21">
        <v>424023.88</v>
      </c>
      <c r="D127" s="34">
        <f t="shared" si="5"/>
        <v>0.84173488305467137</v>
      </c>
    </row>
    <row r="128" spans="1:4" x14ac:dyDescent="0.2">
      <c r="A128" s="20" t="s">
        <v>11</v>
      </c>
      <c r="B128" s="21">
        <f>(397707/12)*12</f>
        <v>397707</v>
      </c>
      <c r="C128" s="21">
        <v>409665.05</v>
      </c>
      <c r="D128" s="34">
        <f t="shared" si="5"/>
        <v>1.0300674868684736</v>
      </c>
    </row>
    <row r="129" spans="1:4" x14ac:dyDescent="0.2">
      <c r="A129" s="20" t="s">
        <v>12</v>
      </c>
      <c r="B129" s="21">
        <f>(1746331.44/12)*12</f>
        <v>1746331.44</v>
      </c>
      <c r="C129" s="21">
        <v>2647535.1173423221</v>
      </c>
      <c r="D129" s="34">
        <f t="shared" si="5"/>
        <v>1.5160553470550369</v>
      </c>
    </row>
    <row r="130" spans="1:4" x14ac:dyDescent="0.2">
      <c r="A130" s="20" t="s">
        <v>13</v>
      </c>
      <c r="B130" s="21">
        <f>(37440/12)*12</f>
        <v>37440</v>
      </c>
      <c r="C130" s="21">
        <v>5974.69</v>
      </c>
      <c r="D130" s="34">
        <f t="shared" si="5"/>
        <v>0.15958039529914528</v>
      </c>
    </row>
    <row r="131" spans="1:4" x14ac:dyDescent="0.2">
      <c r="A131" s="20" t="s">
        <v>28</v>
      </c>
      <c r="B131" s="21">
        <v>80000</v>
      </c>
      <c r="C131" s="21">
        <v>0</v>
      </c>
      <c r="D131" s="34">
        <f t="shared" si="5"/>
        <v>0</v>
      </c>
    </row>
    <row r="132" spans="1:4" x14ac:dyDescent="0.2">
      <c r="A132" s="20" t="s">
        <v>15</v>
      </c>
      <c r="B132" s="21">
        <v>0</v>
      </c>
      <c r="C132" s="21">
        <v>16812.02</v>
      </c>
      <c r="D132" s="34">
        <v>0</v>
      </c>
    </row>
    <row r="133" spans="1:4" x14ac:dyDescent="0.2">
      <c r="A133" s="17" t="s">
        <v>16</v>
      </c>
      <c r="B133" s="36">
        <f>SUM(B122:B131)</f>
        <v>26409094.870000001</v>
      </c>
      <c r="C133" s="36">
        <f>SUM(C122:C132)</f>
        <v>24291879.967342325</v>
      </c>
      <c r="D133" s="35">
        <f>C133/B133</f>
        <v>0.91983008455686321</v>
      </c>
    </row>
    <row r="136" spans="1:4" x14ac:dyDescent="0.2">
      <c r="A136" s="9" t="s">
        <v>42</v>
      </c>
      <c r="B136" s="10"/>
      <c r="C136" s="10"/>
      <c r="D136" s="10"/>
    </row>
    <row r="137" spans="1:4" x14ac:dyDescent="0.2">
      <c r="A137" s="11" t="s">
        <v>5</v>
      </c>
      <c r="B137" s="12" t="s">
        <v>24</v>
      </c>
      <c r="C137" s="13" t="s">
        <v>25</v>
      </c>
      <c r="D137" s="14" t="s">
        <v>26</v>
      </c>
    </row>
    <row r="138" spans="1:4" x14ac:dyDescent="0.2">
      <c r="A138" s="20" t="s">
        <v>8</v>
      </c>
      <c r="B138" s="21">
        <v>37213.410000000003</v>
      </c>
      <c r="C138" s="21">
        <v>34135.17</v>
      </c>
      <c r="D138" s="25">
        <f>C138/B138</f>
        <v>0.91728143161295872</v>
      </c>
    </row>
    <row r="139" spans="1:4" x14ac:dyDescent="0.2">
      <c r="A139" s="18" t="s">
        <v>16</v>
      </c>
      <c r="B139" s="36">
        <v>37213.410000000003</v>
      </c>
      <c r="C139" s="36">
        <v>34135.17</v>
      </c>
      <c r="D139" s="19">
        <v>0.91728143161295872</v>
      </c>
    </row>
    <row r="142" spans="1:4" x14ac:dyDescent="0.2">
      <c r="A142" s="9" t="s">
        <v>42</v>
      </c>
      <c r="B142" s="10"/>
      <c r="C142" s="10"/>
      <c r="D142" s="10"/>
    </row>
    <row r="143" spans="1:4" x14ac:dyDescent="0.2">
      <c r="A143" s="11" t="s">
        <v>5</v>
      </c>
      <c r="B143" s="12" t="s">
        <v>24</v>
      </c>
      <c r="C143" s="13" t="s">
        <v>25</v>
      </c>
      <c r="D143" s="14" t="s">
        <v>26</v>
      </c>
    </row>
    <row r="144" spans="1:4" x14ac:dyDescent="0.2">
      <c r="A144" s="20" t="s">
        <v>21</v>
      </c>
      <c r="B144" s="21">
        <f>(66000/12)*12</f>
        <v>66000</v>
      </c>
      <c r="C144" s="21">
        <v>59810.02</v>
      </c>
      <c r="D144" s="34">
        <f>C144/B144</f>
        <v>0.90621242424242421</v>
      </c>
    </row>
    <row r="145" spans="1:4" x14ac:dyDescent="0.2">
      <c r="A145" s="20" t="s">
        <v>6</v>
      </c>
      <c r="B145" s="21">
        <v>27000</v>
      </c>
      <c r="C145" s="21">
        <v>78854.2</v>
      </c>
      <c r="D145" s="34">
        <f t="shared" ref="D145:D151" si="6">C145/B145</f>
        <v>2.9205259259259257</v>
      </c>
    </row>
    <row r="146" spans="1:4" x14ac:dyDescent="0.2">
      <c r="A146" s="20" t="s">
        <v>7</v>
      </c>
      <c r="B146" s="21">
        <v>540887.4</v>
      </c>
      <c r="C146" s="21">
        <v>340334.36</v>
      </c>
      <c r="D146" s="34">
        <f t="shared" si="6"/>
        <v>0.62921480515168215</v>
      </c>
    </row>
    <row r="147" spans="1:4" x14ac:dyDescent="0.2">
      <c r="A147" s="20" t="s">
        <v>8</v>
      </c>
      <c r="B147" s="21">
        <v>1821433.56</v>
      </c>
      <c r="C147" s="21">
        <v>2306258.23</v>
      </c>
      <c r="D147" s="34">
        <f t="shared" si="6"/>
        <v>1.2661775211828203</v>
      </c>
    </row>
    <row r="148" spans="1:4" x14ac:dyDescent="0.2">
      <c r="A148" s="20" t="s">
        <v>18</v>
      </c>
      <c r="B148" s="21">
        <v>1324840.69</v>
      </c>
      <c r="C148" s="21">
        <v>284947.5</v>
      </c>
      <c r="D148" s="34">
        <f t="shared" si="6"/>
        <v>0.21508057697110738</v>
      </c>
    </row>
    <row r="149" spans="1:4" x14ac:dyDescent="0.2">
      <c r="A149" s="20" t="s">
        <v>19</v>
      </c>
      <c r="B149" s="21">
        <v>131760</v>
      </c>
      <c r="C149" s="21">
        <v>91641.7</v>
      </c>
      <c r="D149" s="34">
        <f t="shared" si="6"/>
        <v>0.69551988463873704</v>
      </c>
    </row>
    <row r="150" spans="1:4" x14ac:dyDescent="0.2">
      <c r="A150" s="20" t="s">
        <v>22</v>
      </c>
      <c r="B150" s="21">
        <v>75000</v>
      </c>
      <c r="C150" s="21">
        <v>71211.5</v>
      </c>
      <c r="D150" s="34">
        <f t="shared" si="6"/>
        <v>0.9494866666666667</v>
      </c>
    </row>
    <row r="151" spans="1:4" x14ac:dyDescent="0.2">
      <c r="A151" s="20" t="s">
        <v>13</v>
      </c>
      <c r="B151" s="21">
        <v>207347.35</v>
      </c>
      <c r="C151" s="21">
        <v>297247.66000000003</v>
      </c>
      <c r="D151" s="34">
        <f t="shared" si="6"/>
        <v>1.4335734698321441</v>
      </c>
    </row>
    <row r="152" spans="1:4" x14ac:dyDescent="0.2">
      <c r="A152" s="20" t="s">
        <v>15</v>
      </c>
      <c r="B152" s="21">
        <v>0</v>
      </c>
      <c r="C152" s="21">
        <v>3676.62</v>
      </c>
      <c r="D152" s="34">
        <v>0</v>
      </c>
    </row>
    <row r="153" spans="1:4" x14ac:dyDescent="0.2">
      <c r="A153" s="17" t="s">
        <v>16</v>
      </c>
      <c r="B153" s="36">
        <v>4194269</v>
      </c>
      <c r="C153" s="36">
        <v>3533981.7900000005</v>
      </c>
      <c r="D153" s="35">
        <v>0.84257394792751739</v>
      </c>
    </row>
  </sheetData>
  <mergeCells count="19">
    <mergeCell ref="A142:D142"/>
    <mergeCell ref="A92:D92"/>
    <mergeCell ref="A98:D98"/>
    <mergeCell ref="A114:D114"/>
    <mergeCell ref="A120:D120"/>
    <mergeCell ref="A136:D136"/>
    <mergeCell ref="A39:D39"/>
    <mergeCell ref="A12:D12"/>
    <mergeCell ref="A18:D18"/>
    <mergeCell ref="A55:D55"/>
    <mergeCell ref="A69:D69"/>
    <mergeCell ref="A1:D1"/>
    <mergeCell ref="A2:D2"/>
    <mergeCell ref="A3:D3"/>
    <mergeCell ref="A4:D4"/>
    <mergeCell ref="A6:D6"/>
    <mergeCell ref="A8:D10"/>
    <mergeCell ref="A32:D32"/>
    <mergeCell ref="A76:D7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OxR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cp:lastPrinted>2024-05-28T15:25:08Z</cp:lastPrinted>
  <dcterms:created xsi:type="dcterms:W3CDTF">2021-04-08T11:07:58Z</dcterms:created>
  <dcterms:modified xsi:type="dcterms:W3CDTF">2024-05-28T15:43:35Z</dcterms:modified>
</cp:coreProperties>
</file>